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<sst xmlns="http://schemas.openxmlformats.org/spreadsheetml/2006/main" count="214" uniqueCount="214">
  <si>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</si>
  <si>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</si>
  <si>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</si>
  <si>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</si>
  <si>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</si>
  <si>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</si>
  <si>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</si>
  <si>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</si>
  <si>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</si>
  <si>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</si>
  <si>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</si>
  <si>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</si>
  <si>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</si>
  <si>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</si>
  <si>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</si>
  <si>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</si>
  <si>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</si>
  <si>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</si>
  <si>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</si>
  <si>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</si>
  <si>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</si>
  <si>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</si>
  <si>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</si>
  <si>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</si>
  <si>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</si>
  <si>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</si>
  <si>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</si>
  <si>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</si>
  <si>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</si>
  <si>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</si>
  <si>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</si>
  <si>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</si>
  <si>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</si>
  <si>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</si>
  <si>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</si>
  <si>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</si>
  <si>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</si>
  <si>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</si>
  <si>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</si>
  <si>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</si>
  <si>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</si>
  <si>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</si>
  <si>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</si>
  <si>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</si>
  <si>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</si>
  <si>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</si>
  <si>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</si>
  <si>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</si>
  <si>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</si>
  <si>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</si>
  <si>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</si>
  <si>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</si>
  <si>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</si>
  <si>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</si>
  <si>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</si>
  <si>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</si>
  <si>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</si>
  <si>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</si>
  <si>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</si>
  <si>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</si>
  <si>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</si>
  <si>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</si>
  <si>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</si>
  <si>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</si>
  <si>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</si>
  <si>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</si>
  <si>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</si>
  <si>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</si>
  <si>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</si>
  <si>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</si>
  <si>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</si>
  <si>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</si>
  <si>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</si>
  <si>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</si>
  <si>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</si>
  <si>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</si>
  <si>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</si>
  <si>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</si>
  <si>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</si>
  <si>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</si>
  <si>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</si>
  <si>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</si>
  <si>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</si>
  <si>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</si>
  <si>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</si>
  <si>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</si>
  <si>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</si>
  <si>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</si>
  <si>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</si>
  <si>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</si>
  <si>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</si>
  <si>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</si>
  <si>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</si>
  <si>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</si>
  <si>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</si>
  <si>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</si>
  <si>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</si>
  <si>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</si>
  <si>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</si>
  <si>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</si>
  <si>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</si>
  <si>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</si>
  <si>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</si>
  <si>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</si>
  <si>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</si>
  <si>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</si>
  <si>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</si>
  <si>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</si>
  <si>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</si>
  <si>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</si>
  <si>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</si>
  <si>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</si>
  <si>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</si>
  <si>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</si>
  <si>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</si>
  <si>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</si>
  <si>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</si>
  <si>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</si>
  <si>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</si>
  <si>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</si>
  <si>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</si>
  <si>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</si>
  <si>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</si>
  <si>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</si>
  <si>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</si>
  <si>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</si>
  <si>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</si>
  <si>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</si>
  <si>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</si>
  <si>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</si>
  <si>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</si>
  <si>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</si>
  <si>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</si>
  <si>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</si>
  <si>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</si>
  <si>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</si>
  <si>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</si>
  <si>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</si>
  <si>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</si>
  <si>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</si>
  <si>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</si>
  <si>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</si>
  <si>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</si>
  <si>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</si>
  <si>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</si>
  <si>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</si>
  <si>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</si>
  <si>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</si>
  <si>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</si>
  <si>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</si>
  <si>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</si>
  <si>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</si>
  <si>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</si>
  <si>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</si>
  <si>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</si>
  <si>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</si>
  <si>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</si>
  <si>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</si>
  <si>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</si>
  <si>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</si>
  <si>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</si>
  <si>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</si>
  <si>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</si>
  <si>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</si>
  <si>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</si>
  <si>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</si>
  <si>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</si>
  <si>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</si>
  <si>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</si>
  <si>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</si>
  <si>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</si>
  <si>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</si>
  <si>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</si>
  <si>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</si>
  <si>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</si>
  <si>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</si>
  <si>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</si>
  <si>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</si>
  <si>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</si>
  <si>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</si>
  <si>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</si>
  <si>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</si>
  <si>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</si>
  <si>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</si>
  <si>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</si>
  <si>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</si>
  <si>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</si>
  <si>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</si>
  <si>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</si>
  <si>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</si>
  <si>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</si>
  <si>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</si>
  <si>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</si>
  <si>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</si>
  <si>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</si>
  <si>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</si>
  <si>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</si>
  <si>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</si>
  <si>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</si>
  <si>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</si>
  <si>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</si>
  <si>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</si>
  <si>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</si>
  <si>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</si>
  <si>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</si>
  <si>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</si>
  <si>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</si>
  <si>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</si>
  <si>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</si>
  <si>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</si>
  <si>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</si>
  <si>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</si>
  <si>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</si>
  <si>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06.08.2018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</si>
</sst>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216" fontId="38" fillId="0" borderId="18" xfId="0" applyNumberFormat="1" applyFont="1" applyFill="1" applyBorder="1" applyAlignment="1">
      <alignment horizontal="center" vertic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123">
      <selection activeCell="AF68" sqref="AF68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25" t="s">
        <v>24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</row>
    <row r="3" spans="2:30" ht="6.75" customHeight="1" thickBot="1">
      <c r="B3" s="7"/>
      <c r="C3" s="7"/>
      <c r="AD3" s="18"/>
    </row>
    <row r="4" spans="1:33" ht="12.75">
      <c r="A4" s="127" t="s">
        <v>16</v>
      </c>
      <c r="B4" s="129" t="s">
        <v>17</v>
      </c>
      <c r="C4" s="131" t="s">
        <v>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32" t="s">
        <v>66</v>
      </c>
      <c r="AD4" s="120" t="s">
        <v>67</v>
      </c>
      <c r="AE4" s="85" t="s">
        <v>134</v>
      </c>
      <c r="AF4" s="120" t="s">
        <v>213</v>
      </c>
      <c r="AG4" s="118" t="s">
        <v>171</v>
      </c>
    </row>
    <row r="5" spans="1:33" ht="41.25" customHeight="1" thickBot="1">
      <c r="A5" s="128"/>
      <c r="B5" s="130"/>
      <c r="C5" s="130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33"/>
      <c r="AD5" s="134"/>
      <c r="AE5" s="89" t="s">
        <v>133</v>
      </c>
      <c r="AF5" s="121"/>
      <c r="AG5" s="119"/>
    </row>
    <row r="6" spans="1:33" ht="30">
      <c r="A6" s="31" t="s">
        <v>28</v>
      </c>
      <c r="B6" s="98" t="s">
        <v>85</v>
      </c>
      <c r="C6" s="99">
        <f>AD6</f>
        <v>17914947.849999998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2">
        <f>SUM(AD7:AD64)</f>
        <v>17914947.849999998</v>
      </c>
      <c r="AE6" s="102">
        <f>AD6</f>
        <v>17914947.849999998</v>
      </c>
      <c r="AF6" s="103">
        <f>SUM(AF7:AF64)</f>
        <v>3272213.0699999994</v>
      </c>
      <c r="AG6" s="83">
        <f>AF6/C6*100</f>
        <v>18.265267068583736</v>
      </c>
    </row>
    <row r="7" spans="1:33" ht="42">
      <c r="A7" s="20" t="s">
        <v>2</v>
      </c>
      <c r="B7" s="104" t="s">
        <v>176</v>
      </c>
      <c r="C7" s="90">
        <f>AD7</f>
        <v>22979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>
        <f>AE7</f>
        <v>22979</v>
      </c>
      <c r="AE7" s="108">
        <v>22979</v>
      </c>
      <c r="AF7" s="109"/>
      <c r="AG7" s="79">
        <f>AF7/C7*100</f>
        <v>0</v>
      </c>
    </row>
    <row r="8" spans="1:33" ht="27.75">
      <c r="A8" s="20" t="s">
        <v>50</v>
      </c>
      <c r="B8" s="104" t="s">
        <v>177</v>
      </c>
      <c r="C8" s="90">
        <f aca="true" t="shared" si="0" ref="C8:C64">AD8</f>
        <v>76000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>
        <f aca="true" t="shared" si="1" ref="AD8:AD64">AE8</f>
        <v>76000</v>
      </c>
      <c r="AE8" s="108">
        <v>76000</v>
      </c>
      <c r="AF8" s="109"/>
      <c r="AG8" s="79">
        <f aca="true" t="shared" si="2" ref="AG8:AG80">AF8/C8*100</f>
        <v>0</v>
      </c>
    </row>
    <row r="9" spans="1:33" ht="27.75">
      <c r="A9" s="20" t="s">
        <v>51</v>
      </c>
      <c r="B9" s="104" t="s">
        <v>178</v>
      </c>
      <c r="C9" s="90">
        <f t="shared" si="0"/>
        <v>290000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7">
        <f t="shared" si="1"/>
        <v>290000</v>
      </c>
      <c r="AE9" s="108">
        <v>290000</v>
      </c>
      <c r="AF9" s="109"/>
      <c r="AG9" s="79">
        <f t="shared" si="2"/>
        <v>0</v>
      </c>
    </row>
    <row r="10" spans="1:33" ht="27.75">
      <c r="A10" s="20" t="s">
        <v>44</v>
      </c>
      <c r="B10" s="104" t="s">
        <v>68</v>
      </c>
      <c r="C10" s="90">
        <f t="shared" si="0"/>
        <v>400000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07">
        <f t="shared" si="1"/>
        <v>400000</v>
      </c>
      <c r="AE10" s="108">
        <v>400000</v>
      </c>
      <c r="AF10" s="109">
        <f>25924.8+300000</f>
        <v>325924.8</v>
      </c>
      <c r="AG10" s="79">
        <f t="shared" si="2"/>
        <v>81.4812</v>
      </c>
    </row>
    <row r="11" spans="1:33" ht="27.75">
      <c r="A11" s="20" t="s">
        <v>45</v>
      </c>
      <c r="B11" s="104" t="s">
        <v>69</v>
      </c>
      <c r="C11" s="90">
        <f t="shared" si="0"/>
        <v>400000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>
        <f t="shared" si="1"/>
        <v>400000</v>
      </c>
      <c r="AE11" s="108">
        <v>400000</v>
      </c>
      <c r="AF11" s="109"/>
      <c r="AG11" s="79">
        <f t="shared" si="2"/>
        <v>0</v>
      </c>
    </row>
    <row r="12" spans="1:33" ht="27.75">
      <c r="A12" s="20" t="s">
        <v>19</v>
      </c>
      <c r="B12" s="104" t="s">
        <v>70</v>
      </c>
      <c r="C12" s="90">
        <f t="shared" si="0"/>
        <v>200000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>
        <f t="shared" si="1"/>
        <v>200000</v>
      </c>
      <c r="AE12" s="108">
        <v>200000</v>
      </c>
      <c r="AF12" s="109"/>
      <c r="AG12" s="79">
        <f t="shared" si="2"/>
        <v>0</v>
      </c>
    </row>
    <row r="13" spans="1:33" ht="27.75">
      <c r="A13" s="20" t="s">
        <v>20</v>
      </c>
      <c r="B13" s="104" t="s">
        <v>71</v>
      </c>
      <c r="C13" s="90">
        <f t="shared" si="0"/>
        <v>485000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>
        <f t="shared" si="1"/>
        <v>485000</v>
      </c>
      <c r="AE13" s="108">
        <v>485000</v>
      </c>
      <c r="AF13" s="109"/>
      <c r="AG13" s="79">
        <f t="shared" si="2"/>
        <v>0</v>
      </c>
    </row>
    <row r="14" spans="1:33" ht="27.75">
      <c r="A14" s="20" t="s">
        <v>46</v>
      </c>
      <c r="B14" s="104" t="s">
        <v>72</v>
      </c>
      <c r="C14" s="90">
        <f t="shared" si="0"/>
        <v>180000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>
        <f t="shared" si="1"/>
        <v>180000</v>
      </c>
      <c r="AE14" s="108">
        <v>180000</v>
      </c>
      <c r="AF14" s="109"/>
      <c r="AG14" s="79">
        <f t="shared" si="2"/>
        <v>0</v>
      </c>
    </row>
    <row r="15" spans="1:33" ht="27.75">
      <c r="A15" s="20" t="s">
        <v>0</v>
      </c>
      <c r="B15" s="104" t="s">
        <v>73</v>
      </c>
      <c r="C15" s="90">
        <f t="shared" si="0"/>
        <v>50000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7">
        <f t="shared" si="1"/>
        <v>50000</v>
      </c>
      <c r="AE15" s="108">
        <v>50000</v>
      </c>
      <c r="AF15" s="109"/>
      <c r="AG15" s="79">
        <f t="shared" si="2"/>
        <v>0</v>
      </c>
    </row>
    <row r="16" spans="1:33" ht="27.75">
      <c r="A16" s="20" t="s">
        <v>26</v>
      </c>
      <c r="B16" s="104" t="s">
        <v>74</v>
      </c>
      <c r="C16" s="90">
        <f t="shared" si="0"/>
        <v>936751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>
        <f t="shared" si="1"/>
        <v>936751</v>
      </c>
      <c r="AE16" s="108">
        <v>936751</v>
      </c>
      <c r="AF16" s="109">
        <v>211800</v>
      </c>
      <c r="AG16" s="79">
        <f t="shared" si="2"/>
        <v>22.610063933745465</v>
      </c>
    </row>
    <row r="17" spans="1:33" ht="27.75">
      <c r="A17" s="20" t="s">
        <v>52</v>
      </c>
      <c r="B17" s="104" t="s">
        <v>75</v>
      </c>
      <c r="C17" s="90">
        <f t="shared" si="0"/>
        <v>80000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>
        <f t="shared" si="1"/>
        <v>80000</v>
      </c>
      <c r="AE17" s="108">
        <v>80000</v>
      </c>
      <c r="AF17" s="110"/>
      <c r="AG17" s="79">
        <f t="shared" si="2"/>
        <v>0</v>
      </c>
    </row>
    <row r="18" spans="1:33" ht="27.75">
      <c r="A18" s="20" t="s">
        <v>22</v>
      </c>
      <c r="B18" s="104" t="s">
        <v>76</v>
      </c>
      <c r="C18" s="90">
        <f t="shared" si="0"/>
        <v>500000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>
        <f t="shared" si="1"/>
        <v>500000</v>
      </c>
      <c r="AE18" s="108">
        <v>500000</v>
      </c>
      <c r="AF18" s="110"/>
      <c r="AG18" s="79">
        <f t="shared" si="2"/>
        <v>0</v>
      </c>
    </row>
    <row r="19" spans="1:33" ht="27.75">
      <c r="A19" s="20" t="s">
        <v>87</v>
      </c>
      <c r="B19" s="104" t="s">
        <v>77</v>
      </c>
      <c r="C19" s="90">
        <f t="shared" si="0"/>
        <v>500000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7">
        <f t="shared" si="1"/>
        <v>500000</v>
      </c>
      <c r="AE19" s="108">
        <v>500000</v>
      </c>
      <c r="AF19" s="109">
        <f>345755.8+120749</f>
        <v>466504.8</v>
      </c>
      <c r="AG19" s="79">
        <f t="shared" si="2"/>
        <v>93.30096</v>
      </c>
    </row>
    <row r="20" spans="1:33" ht="27.75">
      <c r="A20" s="20" t="s">
        <v>88</v>
      </c>
      <c r="B20" s="104" t="s">
        <v>179</v>
      </c>
      <c r="C20" s="90">
        <f t="shared" si="0"/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>
        <f t="shared" si="1"/>
        <v>200000</v>
      </c>
      <c r="AE20" s="108">
        <v>200000</v>
      </c>
      <c r="AF20" s="110"/>
      <c r="AG20" s="79">
        <f t="shared" si="2"/>
        <v>0</v>
      </c>
    </row>
    <row r="21" spans="1:33" ht="27.75">
      <c r="A21" s="20" t="s">
        <v>89</v>
      </c>
      <c r="B21" s="104" t="s">
        <v>180</v>
      </c>
      <c r="C21" s="90">
        <f t="shared" si="0"/>
        <v>150000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>
        <f t="shared" si="1"/>
        <v>150000</v>
      </c>
      <c r="AE21" s="108">
        <v>150000</v>
      </c>
      <c r="AF21" s="110"/>
      <c r="AG21" s="79">
        <f t="shared" si="2"/>
        <v>0</v>
      </c>
    </row>
    <row r="22" spans="1:33" ht="27.75">
      <c r="A22" s="20" t="s">
        <v>90</v>
      </c>
      <c r="B22" s="104" t="s">
        <v>181</v>
      </c>
      <c r="C22" s="90">
        <f t="shared" si="0"/>
        <v>70000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>
        <f t="shared" si="1"/>
        <v>70000</v>
      </c>
      <c r="AE22" s="108">
        <v>70000</v>
      </c>
      <c r="AF22" s="110"/>
      <c r="AG22" s="79">
        <f t="shared" si="2"/>
        <v>0</v>
      </c>
    </row>
    <row r="23" spans="1:33" ht="27.75">
      <c r="A23" s="20" t="s">
        <v>91</v>
      </c>
      <c r="B23" s="104" t="s">
        <v>182</v>
      </c>
      <c r="C23" s="90">
        <f t="shared" si="0"/>
        <v>70000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>
        <f t="shared" si="1"/>
        <v>70000</v>
      </c>
      <c r="AE23" s="108">
        <v>70000</v>
      </c>
      <c r="AF23" s="110"/>
      <c r="AG23" s="79">
        <f t="shared" si="2"/>
        <v>0</v>
      </c>
    </row>
    <row r="24" spans="1:33" ht="27.75">
      <c r="A24" s="20" t="s">
        <v>92</v>
      </c>
      <c r="B24" s="104" t="s">
        <v>183</v>
      </c>
      <c r="C24" s="90">
        <f t="shared" si="0"/>
        <v>250000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>
        <f t="shared" si="1"/>
        <v>250000</v>
      </c>
      <c r="AE24" s="108">
        <v>250000</v>
      </c>
      <c r="AF24" s="109">
        <v>3424.8</v>
      </c>
      <c r="AG24" s="79">
        <f t="shared" si="2"/>
        <v>1.36992</v>
      </c>
    </row>
    <row r="25" spans="1:33" ht="27.75">
      <c r="A25" s="20" t="s">
        <v>93</v>
      </c>
      <c r="B25" s="104" t="s">
        <v>184</v>
      </c>
      <c r="C25" s="90">
        <f t="shared" si="0"/>
        <v>250000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7">
        <f t="shared" si="1"/>
        <v>250000</v>
      </c>
      <c r="AE25" s="108">
        <v>250000</v>
      </c>
      <c r="AF25" s="109">
        <v>3424.8</v>
      </c>
      <c r="AG25" s="79">
        <f t="shared" si="2"/>
        <v>1.36992</v>
      </c>
    </row>
    <row r="26" spans="1:33" ht="27.75">
      <c r="A26" s="20" t="s">
        <v>94</v>
      </c>
      <c r="B26" s="104" t="s">
        <v>185</v>
      </c>
      <c r="C26" s="90">
        <f t="shared" si="0"/>
        <v>150000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>
        <f t="shared" si="1"/>
        <v>150000</v>
      </c>
      <c r="AE26" s="108">
        <v>150000</v>
      </c>
      <c r="AF26" s="109">
        <v>3424.8</v>
      </c>
      <c r="AG26" s="79">
        <f t="shared" si="2"/>
        <v>2.2832000000000003</v>
      </c>
    </row>
    <row r="27" spans="1:33" ht="27.75">
      <c r="A27" s="20" t="s">
        <v>95</v>
      </c>
      <c r="B27" s="104" t="s">
        <v>170</v>
      </c>
      <c r="C27" s="90">
        <f t="shared" si="0"/>
        <v>1300000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7">
        <f t="shared" si="1"/>
        <v>1300000</v>
      </c>
      <c r="AE27" s="108">
        <v>1300000</v>
      </c>
      <c r="AF27" s="109">
        <f>48851+614686</f>
        <v>663537</v>
      </c>
      <c r="AG27" s="79">
        <f t="shared" si="2"/>
        <v>51.04130769230769</v>
      </c>
    </row>
    <row r="28" spans="1:33" ht="27.75">
      <c r="A28" s="20" t="s">
        <v>96</v>
      </c>
      <c r="B28" s="104" t="s">
        <v>173</v>
      </c>
      <c r="C28" s="90">
        <f t="shared" si="0"/>
        <v>1300000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07">
        <f t="shared" si="1"/>
        <v>1300000</v>
      </c>
      <c r="AE28" s="108">
        <v>1300000</v>
      </c>
      <c r="AF28" s="109">
        <f>48851+493855</f>
        <v>542706</v>
      </c>
      <c r="AG28" s="79">
        <f t="shared" si="2"/>
        <v>41.74661538461538</v>
      </c>
    </row>
    <row r="29" spans="1:33" ht="27.75">
      <c r="A29" s="20" t="s">
        <v>97</v>
      </c>
      <c r="B29" s="104" t="s">
        <v>78</v>
      </c>
      <c r="C29" s="90">
        <f t="shared" si="0"/>
        <v>100000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7">
        <f t="shared" si="1"/>
        <v>100000</v>
      </c>
      <c r="AE29" s="108">
        <v>100000</v>
      </c>
      <c r="AF29" s="109"/>
      <c r="AG29" s="79">
        <f t="shared" si="2"/>
        <v>0</v>
      </c>
    </row>
    <row r="30" spans="1:33" ht="27.75">
      <c r="A30" s="20" t="s">
        <v>98</v>
      </c>
      <c r="B30" s="104" t="s">
        <v>135</v>
      </c>
      <c r="C30" s="90">
        <f t="shared" si="0"/>
        <v>100000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7">
        <f t="shared" si="1"/>
        <v>100000</v>
      </c>
      <c r="AE30" s="108">
        <v>100000</v>
      </c>
      <c r="AF30" s="109"/>
      <c r="AG30" s="79">
        <f t="shared" si="2"/>
        <v>0</v>
      </c>
    </row>
    <row r="31" spans="1:33" ht="27.75">
      <c r="A31" s="20" t="s">
        <v>99</v>
      </c>
      <c r="B31" s="104" t="s">
        <v>186</v>
      </c>
      <c r="C31" s="90">
        <f t="shared" si="0"/>
        <v>70000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7">
        <f t="shared" si="1"/>
        <v>70000</v>
      </c>
      <c r="AE31" s="108">
        <v>70000</v>
      </c>
      <c r="AF31" s="110"/>
      <c r="AG31" s="79">
        <f t="shared" si="2"/>
        <v>0</v>
      </c>
    </row>
    <row r="32" spans="1:33" ht="27.75">
      <c r="A32" s="20" t="s">
        <v>100</v>
      </c>
      <c r="B32" s="104" t="s">
        <v>79</v>
      </c>
      <c r="C32" s="90">
        <f t="shared" si="0"/>
        <v>70000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7">
        <f t="shared" si="1"/>
        <v>70000</v>
      </c>
      <c r="AE32" s="108">
        <v>70000</v>
      </c>
      <c r="AF32" s="110"/>
      <c r="AG32" s="79">
        <f t="shared" si="2"/>
        <v>0</v>
      </c>
    </row>
    <row r="33" spans="1:33" ht="27.75">
      <c r="A33" s="20" t="s">
        <v>101</v>
      </c>
      <c r="B33" s="104" t="s">
        <v>80</v>
      </c>
      <c r="C33" s="90">
        <f t="shared" si="0"/>
        <v>550000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7">
        <f t="shared" si="1"/>
        <v>550000</v>
      </c>
      <c r="AE33" s="108">
        <v>550000</v>
      </c>
      <c r="AF33" s="110"/>
      <c r="AG33" s="79">
        <f t="shared" si="2"/>
        <v>0</v>
      </c>
    </row>
    <row r="34" spans="1:33" ht="27.75">
      <c r="A34" s="20" t="s">
        <v>102</v>
      </c>
      <c r="B34" s="104" t="s">
        <v>81</v>
      </c>
      <c r="C34" s="90">
        <f t="shared" si="0"/>
        <v>721000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7">
        <f t="shared" si="1"/>
        <v>721000</v>
      </c>
      <c r="AE34" s="108">
        <v>721000</v>
      </c>
      <c r="AF34" s="109">
        <f>12310+214500</f>
        <v>226810</v>
      </c>
      <c r="AG34" s="79">
        <f t="shared" si="2"/>
        <v>31.457697642163662</v>
      </c>
    </row>
    <row r="35" spans="1:33" ht="27.75">
      <c r="A35" s="20" t="s">
        <v>103</v>
      </c>
      <c r="B35" s="104" t="s">
        <v>187</v>
      </c>
      <c r="C35" s="90">
        <f t="shared" si="0"/>
        <v>70000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107">
        <f t="shared" si="1"/>
        <v>70000</v>
      </c>
      <c r="AE35" s="108">
        <v>70000</v>
      </c>
      <c r="AF35" s="110"/>
      <c r="AG35" s="79">
        <f t="shared" si="2"/>
        <v>0</v>
      </c>
    </row>
    <row r="36" spans="1:33" ht="27.75">
      <c r="A36" s="20" t="s">
        <v>104</v>
      </c>
      <c r="B36" s="104" t="s">
        <v>188</v>
      </c>
      <c r="C36" s="90">
        <f t="shared" si="0"/>
        <v>40000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7">
        <f t="shared" si="1"/>
        <v>40000</v>
      </c>
      <c r="AE36" s="108">
        <v>40000</v>
      </c>
      <c r="AF36" s="109"/>
      <c r="AG36" s="79">
        <f t="shared" si="2"/>
        <v>0</v>
      </c>
    </row>
    <row r="37" spans="1:33" ht="27.75">
      <c r="A37" s="20" t="s">
        <v>105</v>
      </c>
      <c r="B37" s="111" t="s">
        <v>189</v>
      </c>
      <c r="C37" s="90">
        <f t="shared" si="0"/>
        <v>250000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7">
        <f t="shared" si="1"/>
        <v>250000</v>
      </c>
      <c r="AE37" s="108">
        <v>250000</v>
      </c>
      <c r="AF37" s="109"/>
      <c r="AG37" s="79">
        <f t="shared" si="2"/>
        <v>0</v>
      </c>
    </row>
    <row r="38" spans="1:33" ht="27.75">
      <c r="A38" s="20" t="s">
        <v>106</v>
      </c>
      <c r="B38" s="112" t="s">
        <v>190</v>
      </c>
      <c r="C38" s="90">
        <f t="shared" si="0"/>
        <v>250000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7">
        <f t="shared" si="1"/>
        <v>250000</v>
      </c>
      <c r="AE38" s="108">
        <v>250000</v>
      </c>
      <c r="AF38" s="109"/>
      <c r="AG38" s="79">
        <f t="shared" si="2"/>
        <v>0</v>
      </c>
    </row>
    <row r="39" spans="1:33" ht="27.75">
      <c r="A39" s="20" t="s">
        <v>107</v>
      </c>
      <c r="B39" s="113" t="s">
        <v>191</v>
      </c>
      <c r="C39" s="90">
        <f t="shared" si="0"/>
        <v>150000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7">
        <f t="shared" si="1"/>
        <v>150000</v>
      </c>
      <c r="AE39" s="108">
        <v>150000</v>
      </c>
      <c r="AF39" s="109"/>
      <c r="AG39" s="79">
        <f t="shared" si="2"/>
        <v>0</v>
      </c>
    </row>
    <row r="40" spans="1:33" ht="27.75">
      <c r="A40" s="20" t="s">
        <v>108</v>
      </c>
      <c r="B40" s="113" t="s">
        <v>192</v>
      </c>
      <c r="C40" s="90">
        <f t="shared" si="0"/>
        <v>70000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07">
        <f t="shared" si="1"/>
        <v>70000</v>
      </c>
      <c r="AE40" s="108">
        <v>70000</v>
      </c>
      <c r="AF40" s="110"/>
      <c r="AG40" s="79">
        <f t="shared" si="2"/>
        <v>0</v>
      </c>
    </row>
    <row r="41" spans="1:33" ht="27.75">
      <c r="A41" s="20" t="s">
        <v>149</v>
      </c>
      <c r="B41" s="113" t="s">
        <v>193</v>
      </c>
      <c r="C41" s="90">
        <f t="shared" si="0"/>
        <v>250000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>
        <f t="shared" si="1"/>
        <v>250000</v>
      </c>
      <c r="AE41" s="108">
        <v>250000</v>
      </c>
      <c r="AF41" s="109">
        <v>3424.8</v>
      </c>
      <c r="AG41" s="79">
        <f t="shared" si="2"/>
        <v>1.36992</v>
      </c>
    </row>
    <row r="42" spans="1:33" ht="27.75">
      <c r="A42" s="20" t="s">
        <v>150</v>
      </c>
      <c r="B42" s="113" t="s">
        <v>194</v>
      </c>
      <c r="C42" s="90">
        <f t="shared" si="0"/>
        <v>250000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7">
        <f t="shared" si="1"/>
        <v>250000</v>
      </c>
      <c r="AE42" s="108">
        <v>250000</v>
      </c>
      <c r="AF42" s="109">
        <v>3424.8</v>
      </c>
      <c r="AG42" s="79">
        <f t="shared" si="2"/>
        <v>1.36992</v>
      </c>
    </row>
    <row r="43" spans="1:33" ht="27.75">
      <c r="A43" s="20" t="s">
        <v>151</v>
      </c>
      <c r="B43" s="113" t="s">
        <v>82</v>
      </c>
      <c r="C43" s="90">
        <f t="shared" si="0"/>
        <v>89529.4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107">
        <f t="shared" si="1"/>
        <v>89529.4</v>
      </c>
      <c r="AE43" s="108">
        <v>89529.4</v>
      </c>
      <c r="AF43" s="109">
        <v>42652.16</v>
      </c>
      <c r="AG43" s="79">
        <f t="shared" si="2"/>
        <v>47.640395222128156</v>
      </c>
    </row>
    <row r="44" spans="1:33" ht="27.75">
      <c r="A44" s="20" t="s">
        <v>152</v>
      </c>
      <c r="B44" s="113" t="s">
        <v>163</v>
      </c>
      <c r="C44" s="90">
        <f t="shared" si="0"/>
        <v>259290.01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7">
        <f t="shared" si="1"/>
        <v>259290.01</v>
      </c>
      <c r="AE44" s="108">
        <v>259290.01</v>
      </c>
      <c r="AF44" s="109">
        <f>150000+1917.6+49589.95</f>
        <v>201507.55</v>
      </c>
      <c r="AG44" s="79">
        <f t="shared" si="2"/>
        <v>77.71512292355574</v>
      </c>
    </row>
    <row r="45" spans="1:33" ht="27.75">
      <c r="A45" s="20" t="s">
        <v>153</v>
      </c>
      <c r="B45" s="113" t="s">
        <v>139</v>
      </c>
      <c r="C45" s="90">
        <f t="shared" si="0"/>
        <v>89529.4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7">
        <f t="shared" si="1"/>
        <v>89529.4</v>
      </c>
      <c r="AE45" s="108">
        <v>89529.4</v>
      </c>
      <c r="AF45" s="109">
        <v>46059.44</v>
      </c>
      <c r="AG45" s="79">
        <f t="shared" si="2"/>
        <v>51.44616181946936</v>
      </c>
    </row>
    <row r="46" spans="1:33" ht="27.75">
      <c r="A46" s="20" t="s">
        <v>154</v>
      </c>
      <c r="B46" s="114" t="s">
        <v>140</v>
      </c>
      <c r="C46" s="90">
        <f t="shared" si="0"/>
        <v>68183.04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7">
        <f t="shared" si="1"/>
        <v>68183.04</v>
      </c>
      <c r="AE46" s="108">
        <v>68183.04</v>
      </c>
      <c r="AF46" s="110"/>
      <c r="AG46" s="79">
        <f t="shared" si="2"/>
        <v>0</v>
      </c>
    </row>
    <row r="47" spans="1:33" ht="27.75">
      <c r="A47" s="20" t="s">
        <v>155</v>
      </c>
      <c r="B47" s="113" t="s">
        <v>195</v>
      </c>
      <c r="C47" s="90">
        <f t="shared" si="0"/>
        <v>68183.04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7">
        <f t="shared" si="1"/>
        <v>68183.04</v>
      </c>
      <c r="AE47" s="108">
        <v>68183.04</v>
      </c>
      <c r="AF47" s="110"/>
      <c r="AG47" s="79">
        <f t="shared" si="2"/>
        <v>0</v>
      </c>
    </row>
    <row r="48" spans="1:33" ht="27.75">
      <c r="A48" s="20" t="s">
        <v>156</v>
      </c>
      <c r="B48" s="113" t="s">
        <v>196</v>
      </c>
      <c r="C48" s="90">
        <f t="shared" si="0"/>
        <v>12000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7">
        <f t="shared" si="1"/>
        <v>12000</v>
      </c>
      <c r="AE48" s="108">
        <v>12000</v>
      </c>
      <c r="AF48" s="109">
        <v>7432.8</v>
      </c>
      <c r="AG48" s="79">
        <f aca="true" t="shared" si="3" ref="AG48:AG53">AF48/C48*100</f>
        <v>61.940000000000005</v>
      </c>
    </row>
    <row r="49" spans="1:33" ht="27.75">
      <c r="A49" s="20" t="s">
        <v>157</v>
      </c>
      <c r="B49" s="113" t="s">
        <v>141</v>
      </c>
      <c r="C49" s="90">
        <f t="shared" si="0"/>
        <v>6000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  <c r="AD49" s="107">
        <f t="shared" si="1"/>
        <v>6000</v>
      </c>
      <c r="AE49" s="108">
        <v>6000</v>
      </c>
      <c r="AF49" s="109">
        <v>2912.4</v>
      </c>
      <c r="AG49" s="79">
        <f t="shared" si="3"/>
        <v>48.54</v>
      </c>
    </row>
    <row r="50" spans="1:33" ht="27.75">
      <c r="A50" s="20" t="s">
        <v>158</v>
      </c>
      <c r="B50" s="113" t="s">
        <v>142</v>
      </c>
      <c r="C50" s="90">
        <f t="shared" si="0"/>
        <v>12500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7">
        <f t="shared" si="1"/>
        <v>12500</v>
      </c>
      <c r="AE50" s="108">
        <v>12500</v>
      </c>
      <c r="AF50" s="109">
        <v>9697.2</v>
      </c>
      <c r="AG50" s="79">
        <f t="shared" si="3"/>
        <v>77.5776</v>
      </c>
    </row>
    <row r="51" spans="1:33" ht="30.75">
      <c r="A51" s="20" t="s">
        <v>159</v>
      </c>
      <c r="B51" s="115" t="s">
        <v>143</v>
      </c>
      <c r="C51" s="90">
        <f t="shared" si="0"/>
        <v>6000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7">
        <f t="shared" si="1"/>
        <v>6000</v>
      </c>
      <c r="AE51" s="108">
        <v>6000</v>
      </c>
      <c r="AF51" s="109">
        <v>2588.4</v>
      </c>
      <c r="AG51" s="79">
        <f t="shared" si="3"/>
        <v>43.14</v>
      </c>
    </row>
    <row r="52" spans="1:33" ht="30.75">
      <c r="A52" s="20" t="s">
        <v>160</v>
      </c>
      <c r="B52" s="115" t="s">
        <v>197</v>
      </c>
      <c r="C52" s="90">
        <f t="shared" si="0"/>
        <v>150000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>
        <f t="shared" si="1"/>
        <v>150000</v>
      </c>
      <c r="AE52" s="108">
        <v>150000</v>
      </c>
      <c r="AF52" s="109">
        <v>3424.8</v>
      </c>
      <c r="AG52" s="79">
        <f t="shared" si="3"/>
        <v>2.2832000000000003</v>
      </c>
    </row>
    <row r="53" spans="1:33" ht="27.75">
      <c r="A53" s="20" t="s">
        <v>161</v>
      </c>
      <c r="B53" s="116" t="s">
        <v>144</v>
      </c>
      <c r="C53" s="90">
        <f t="shared" si="0"/>
        <v>67823.44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7">
        <f t="shared" si="1"/>
        <v>67823.44</v>
      </c>
      <c r="AE53" s="108">
        <v>67823.44</v>
      </c>
      <c r="AF53" s="110"/>
      <c r="AG53" s="79">
        <f t="shared" si="3"/>
        <v>0</v>
      </c>
    </row>
    <row r="54" spans="1:33" ht="27.75">
      <c r="A54" s="20" t="s">
        <v>164</v>
      </c>
      <c r="B54" s="116" t="s">
        <v>199</v>
      </c>
      <c r="C54" s="90">
        <f t="shared" si="0"/>
        <v>110000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7">
        <f t="shared" si="1"/>
        <v>110000</v>
      </c>
      <c r="AE54" s="108">
        <v>110000</v>
      </c>
      <c r="AF54" s="110"/>
      <c r="AG54" s="79">
        <f aca="true" t="shared" si="4" ref="AG54:AG64">AF54/C54*100</f>
        <v>0</v>
      </c>
    </row>
    <row r="55" spans="1:33" ht="27.75">
      <c r="A55" s="20" t="s">
        <v>198</v>
      </c>
      <c r="B55" s="116" t="s">
        <v>145</v>
      </c>
      <c r="C55" s="90">
        <f t="shared" si="0"/>
        <v>110473.24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7">
        <f t="shared" si="1"/>
        <v>110473.24</v>
      </c>
      <c r="AE55" s="108">
        <v>110473.24</v>
      </c>
      <c r="AF55" s="110"/>
      <c r="AG55" s="79">
        <f t="shared" si="4"/>
        <v>0</v>
      </c>
    </row>
    <row r="56" spans="1:33" ht="27.75">
      <c r="A56" s="20" t="s">
        <v>200</v>
      </c>
      <c r="B56" s="116" t="s">
        <v>146</v>
      </c>
      <c r="C56" s="90">
        <f t="shared" si="0"/>
        <v>37506.28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7">
        <f t="shared" si="1"/>
        <v>37506.28</v>
      </c>
      <c r="AE56" s="108">
        <v>37506.28</v>
      </c>
      <c r="AF56" s="110"/>
      <c r="AG56" s="79">
        <f t="shared" si="4"/>
        <v>0</v>
      </c>
    </row>
    <row r="57" spans="1:33" ht="27.75">
      <c r="A57" s="20" t="s">
        <v>201</v>
      </c>
      <c r="B57" s="116" t="s">
        <v>203</v>
      </c>
      <c r="C57" s="90">
        <f t="shared" si="0"/>
        <v>70000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7">
        <f t="shared" si="1"/>
        <v>70000</v>
      </c>
      <c r="AE57" s="108">
        <v>70000</v>
      </c>
      <c r="AF57" s="110"/>
      <c r="AG57" s="79">
        <f t="shared" si="4"/>
        <v>0</v>
      </c>
    </row>
    <row r="58" spans="1:33" ht="27.75">
      <c r="A58" s="20" t="s">
        <v>202</v>
      </c>
      <c r="B58" s="116" t="s">
        <v>147</v>
      </c>
      <c r="C58" s="90">
        <f t="shared" si="0"/>
        <v>2700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7">
        <f t="shared" si="1"/>
        <v>2700</v>
      </c>
      <c r="AE58" s="108">
        <v>2700</v>
      </c>
      <c r="AF58" s="110"/>
      <c r="AG58" s="79">
        <f t="shared" si="4"/>
        <v>0</v>
      </c>
    </row>
    <row r="59" spans="1:33" ht="27.75">
      <c r="A59" s="20" t="s">
        <v>204</v>
      </c>
      <c r="B59" s="116" t="s">
        <v>148</v>
      </c>
      <c r="C59" s="90">
        <f t="shared" si="0"/>
        <v>3500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7">
        <f t="shared" si="1"/>
        <v>3500</v>
      </c>
      <c r="AE59" s="108">
        <v>3500</v>
      </c>
      <c r="AF59" s="110"/>
      <c r="AG59" s="79">
        <f t="shared" si="4"/>
        <v>0</v>
      </c>
    </row>
    <row r="60" spans="1:33" ht="27.75">
      <c r="A60" s="20" t="s">
        <v>205</v>
      </c>
      <c r="B60" s="116" t="s">
        <v>207</v>
      </c>
      <c r="C60" s="90">
        <f t="shared" si="0"/>
        <v>200000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7">
        <f t="shared" si="1"/>
        <v>200000</v>
      </c>
      <c r="AE60" s="108">
        <v>200000</v>
      </c>
      <c r="AF60" s="110"/>
      <c r="AG60" s="79">
        <f t="shared" si="4"/>
        <v>0</v>
      </c>
    </row>
    <row r="61" spans="1:33" ht="27.75">
      <c r="A61" s="20" t="s">
        <v>206</v>
      </c>
      <c r="B61" s="116" t="s">
        <v>209</v>
      </c>
      <c r="C61" s="90">
        <f t="shared" si="0"/>
        <v>350000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7">
        <f t="shared" si="1"/>
        <v>350000</v>
      </c>
      <c r="AE61" s="108">
        <v>350000</v>
      </c>
      <c r="AF61" s="110"/>
      <c r="AG61" s="79">
        <f t="shared" si="4"/>
        <v>0</v>
      </c>
    </row>
    <row r="62" spans="1:33" ht="27.75">
      <c r="A62" s="20" t="s">
        <v>208</v>
      </c>
      <c r="B62" s="116" t="s">
        <v>165</v>
      </c>
      <c r="C62" s="90">
        <f t="shared" si="0"/>
        <v>200000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7">
        <f t="shared" si="1"/>
        <v>200000</v>
      </c>
      <c r="AE62" s="108">
        <v>200000</v>
      </c>
      <c r="AF62" s="110"/>
      <c r="AG62" s="79">
        <f t="shared" si="4"/>
        <v>0</v>
      </c>
    </row>
    <row r="63" spans="1:33" ht="27.75">
      <c r="A63" s="20" t="s">
        <v>210</v>
      </c>
      <c r="B63" s="116" t="s">
        <v>166</v>
      </c>
      <c r="C63" s="90">
        <f t="shared" si="0"/>
        <v>200000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7">
        <f t="shared" si="1"/>
        <v>200000</v>
      </c>
      <c r="AE63" s="108">
        <v>200000</v>
      </c>
      <c r="AF63" s="110"/>
      <c r="AG63" s="79">
        <f t="shared" si="4"/>
        <v>0</v>
      </c>
    </row>
    <row r="64" spans="1:33" ht="55.5">
      <c r="A64" s="20" t="s">
        <v>211</v>
      </c>
      <c r="B64" s="52" t="s">
        <v>212</v>
      </c>
      <c r="C64" s="38">
        <f t="shared" si="0"/>
        <v>5000000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5000000</v>
      </c>
      <c r="AE64" s="82">
        <v>5000000</v>
      </c>
      <c r="AF64" s="117">
        <f>340914.2+29821.92+130795.6</f>
        <v>501531.72</v>
      </c>
      <c r="AG64" s="79">
        <f t="shared" si="4"/>
        <v>10.030634399999999</v>
      </c>
    </row>
    <row r="65" spans="1:33" ht="15">
      <c r="A65" s="27" t="s">
        <v>86</v>
      </c>
      <c r="B65" s="53" t="s">
        <v>130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4">
        <f>AD65</f>
        <v>7175000</v>
      </c>
      <c r="AF65" s="36">
        <f>AF66</f>
        <v>3605283.3899999997</v>
      </c>
      <c r="AG65" s="77">
        <f t="shared" si="2"/>
        <v>50.247852125435536</v>
      </c>
    </row>
    <row r="66" spans="1:33" ht="55.5">
      <c r="A66" s="20" t="s">
        <v>109</v>
      </c>
      <c r="B66" s="51" t="s">
        <v>83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5">
        <f>AD66</f>
        <v>7175000</v>
      </c>
      <c r="AF66" s="82">
        <f>2994538.8+52872+280044+277828.59</f>
        <v>3605283.3899999997</v>
      </c>
      <c r="AG66" s="79">
        <f t="shared" si="2"/>
        <v>50.247852125435536</v>
      </c>
    </row>
    <row r="67" spans="1:33" ht="30">
      <c r="A67" s="27" t="s">
        <v>27</v>
      </c>
      <c r="B67" s="53" t="s">
        <v>131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4">
        <f>AD67</f>
        <v>2545000</v>
      </c>
      <c r="AF67" s="36">
        <f>BG67</f>
        <v>0</v>
      </c>
      <c r="AG67" s="77">
        <f t="shared" si="2"/>
        <v>0</v>
      </c>
    </row>
    <row r="68" spans="1:33" ht="42">
      <c r="A68" s="20" t="s">
        <v>54</v>
      </c>
      <c r="B68" s="51" t="s">
        <v>84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5">
        <f>AD68</f>
        <v>2545000</v>
      </c>
      <c r="AF68" s="135">
        <v>278748</v>
      </c>
      <c r="AG68" s="79">
        <f t="shared" si="2"/>
        <v>10.952770137524558</v>
      </c>
    </row>
    <row r="69" spans="1:33" s="3" customFormat="1" ht="29.25" customHeight="1">
      <c r="A69" s="22" t="s">
        <v>110</v>
      </c>
      <c r="B69" s="54" t="s">
        <v>23</v>
      </c>
      <c r="C69" s="40">
        <f>AC69+AD69</f>
        <v>48361502.5</v>
      </c>
      <c r="D69" s="40">
        <f aca="true" t="shared" si="5" ref="D69:AB69">D70+D77+D83+D87+D94+D102+D105+D110+D112+D115+D116+D119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AC70+AC77+AC83+AC87+AC94+AC102+AC105+AC110+AC112+AC115+AC116+AC119+AC122</f>
        <v>46161502.5</v>
      </c>
      <c r="AD69" s="34">
        <f>AE69</f>
        <v>2200000</v>
      </c>
      <c r="AE69" s="66">
        <f>AE94+AE105</f>
        <v>2200000</v>
      </c>
      <c r="AF69" s="40">
        <f>AF70+AF77+AF83+AF87+AF94+AF102+AF105+AF110+AF112+AF115+AF116+AF119+AF122</f>
        <v>23068616.74</v>
      </c>
      <c r="AG69" s="77">
        <f t="shared" si="2"/>
        <v>47.70037229509153</v>
      </c>
    </row>
    <row r="70" spans="1:33" ht="27.75">
      <c r="A70" s="9" t="s">
        <v>117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7"/>
      <c r="AF70" s="91">
        <f>SUM(AF71:AF76)</f>
        <v>9576826.16</v>
      </c>
      <c r="AG70" s="80">
        <f t="shared" si="2"/>
        <v>53.69832532461195</v>
      </c>
    </row>
    <row r="71" spans="1:33" ht="13.5">
      <c r="A71" s="9"/>
      <c r="B71" s="56" t="s">
        <v>65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2">C71</f>
        <v>739607.49</v>
      </c>
      <c r="AD71" s="16"/>
      <c r="AE71" s="67"/>
      <c r="AF71" s="92">
        <v>711836.19</v>
      </c>
      <c r="AG71" s="81">
        <f t="shared" si="2"/>
        <v>96.24512996751831</v>
      </c>
    </row>
    <row r="72" spans="1:33" ht="27.75">
      <c r="A72" s="9"/>
      <c r="B72" s="56" t="s">
        <v>136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7"/>
      <c r="AF72" s="93">
        <f>455000+314965+130620+343290+97715+339580+98470</f>
        <v>1779640</v>
      </c>
      <c r="AG72" s="81">
        <f t="shared" si="2"/>
        <v>43.94172839506173</v>
      </c>
    </row>
    <row r="73" spans="1:33" ht="13.5">
      <c r="A73" s="9"/>
      <c r="B73" s="56" t="s">
        <v>64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7"/>
      <c r="AF73" s="92">
        <f>2365770.77+938491.55+624657.88+597865.39+521903.53+454645.44</f>
        <v>5503334.5600000005</v>
      </c>
      <c r="AG73" s="81">
        <f t="shared" si="2"/>
        <v>53.53219055912205</v>
      </c>
    </row>
    <row r="74" spans="1:33" ht="27.75">
      <c r="A74" s="9"/>
      <c r="B74" s="56" t="s">
        <v>43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7"/>
      <c r="AF74" s="93">
        <f>46671+2500+4491+51671+51162+4491+2500+46671+4491+46671+4491+46671+5000+24687+4491+30677+2500+4491+24868.9</f>
        <v>409195.9</v>
      </c>
      <c r="AG74" s="81">
        <f t="shared" si="2"/>
        <v>56.02941108007767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7"/>
      <c r="AF75" s="93">
        <f>124086+55244.7+44251+76234+44251+44251+38355+47346.24+49686+38383.46</f>
        <v>562088.4</v>
      </c>
      <c r="AG75" s="81">
        <f t="shared" si="2"/>
        <v>54.46830530401036</v>
      </c>
    </row>
    <row r="76" spans="1:33" ht="13.5">
      <c r="A76" s="9"/>
      <c r="B76" s="56" t="s">
        <v>37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7"/>
      <c r="AF76" s="92">
        <f>165541.2+86398.21+87668.42+90307.93+90518.03+90297.32</f>
        <v>610731.1100000001</v>
      </c>
      <c r="AG76" s="81">
        <f t="shared" si="2"/>
        <v>60.93965315958053</v>
      </c>
    </row>
    <row r="77" spans="1:33" ht="13.5">
      <c r="A77" s="9" t="s">
        <v>118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7"/>
      <c r="AF77" s="91">
        <f>SUM(AF78:AF82)</f>
        <v>4012203.69</v>
      </c>
      <c r="AG77" s="80">
        <f t="shared" si="2"/>
        <v>55.71850355196454</v>
      </c>
    </row>
    <row r="78" spans="1:33" ht="13.5">
      <c r="A78" s="9"/>
      <c r="B78" s="56" t="s">
        <v>38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7"/>
      <c r="AF78" s="92">
        <f>195156+87000+174330+87000+260160+58000+70200</f>
        <v>931846</v>
      </c>
      <c r="AG78" s="81">
        <f t="shared" si="2"/>
        <v>38.790296525605434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7"/>
      <c r="AF79" s="92">
        <f>135000+33750+27090+11457+172700</f>
        <v>379997</v>
      </c>
      <c r="AG79" s="81">
        <f t="shared" si="2"/>
        <v>99.99921052631578</v>
      </c>
    </row>
    <row r="80" spans="1:33" ht="13.5">
      <c r="A80" s="9"/>
      <c r="B80" s="56" t="s">
        <v>39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7"/>
      <c r="AF80" s="92">
        <f>33207.3+33207.3+33207.3</f>
        <v>99621.90000000001</v>
      </c>
      <c r="AG80" s="81">
        <f t="shared" si="2"/>
        <v>49.810950000000005</v>
      </c>
    </row>
    <row r="81" spans="1:33" ht="13.5">
      <c r="A81" s="9"/>
      <c r="B81" s="56" t="s">
        <v>40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7"/>
      <c r="AF81" s="92">
        <f>45550+62000+60735+53619.08</f>
        <v>221904.08000000002</v>
      </c>
      <c r="AG81" s="81">
        <f aca="true" t="shared" si="9" ref="AG81:AG130">AF81/C81*100</f>
        <v>76.12990274077706</v>
      </c>
    </row>
    <row r="82" spans="1:33" ht="44.25" customHeight="1">
      <c r="A82" s="9"/>
      <c r="B82" s="56" t="s">
        <v>41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7"/>
      <c r="AF82" s="93">
        <f>1017646.61+44880+126065.55+74837.4+57228.6+90245.1+212678.65+329120+256886.6+76800+92446.2</f>
        <v>2378834.71</v>
      </c>
      <c r="AG82" s="81">
        <f t="shared" si="9"/>
        <v>60.5748515368033</v>
      </c>
    </row>
    <row r="83" spans="1:33" ht="27.75">
      <c r="A83" s="9" t="s">
        <v>119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7"/>
      <c r="AF83" s="91">
        <f>SUM(AF84:AF86)</f>
        <v>661996.62</v>
      </c>
      <c r="AG83" s="80">
        <f t="shared" si="9"/>
        <v>35.7938731487532</v>
      </c>
    </row>
    <row r="84" spans="1:33" ht="13.5">
      <c r="A84" s="9"/>
      <c r="B84" s="56" t="s">
        <v>56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7"/>
      <c r="AF84" s="92">
        <f>581281.86-183335.28+134873.07</f>
        <v>532819.6499999999</v>
      </c>
      <c r="AG84" s="81">
        <f t="shared" si="9"/>
        <v>41.91581980638248</v>
      </c>
    </row>
    <row r="85" spans="1:33" ht="13.5">
      <c r="A85" s="9"/>
      <c r="B85" s="56" t="s">
        <v>57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7"/>
      <c r="AF85" s="92">
        <f>32355.65+32355.65</f>
        <v>64711.3</v>
      </c>
      <c r="AG85" s="81">
        <f t="shared" si="9"/>
        <v>41.1140299586981</v>
      </c>
    </row>
    <row r="86" spans="1:33" ht="13.5">
      <c r="A86" s="9"/>
      <c r="B86" s="56" t="s">
        <v>58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7"/>
      <c r="AF86" s="92">
        <f>31498.87+32966.8</f>
        <v>64465.67</v>
      </c>
      <c r="AG86" s="81">
        <f t="shared" si="9"/>
        <v>15.315843067042614</v>
      </c>
    </row>
    <row r="87" spans="1:33" ht="13.5">
      <c r="A87" s="9" t="s">
        <v>120</v>
      </c>
      <c r="B87" s="55" t="s">
        <v>42</v>
      </c>
      <c r="C87" s="41">
        <f>SUM(C88:C93)</f>
        <v>3348066.06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3348066.06</v>
      </c>
      <c r="AD87" s="15"/>
      <c r="AE87" s="67"/>
      <c r="AF87" s="91">
        <f>SUM(AF88:AF93)</f>
        <v>1702444.7199999995</v>
      </c>
      <c r="AG87" s="79">
        <f t="shared" si="9"/>
        <v>50.848600042258404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7"/>
      <c r="AF88" s="93">
        <f>125100.74+47588.76+8444.96+20315+4469.3+55353.01+9534.81+126000+58800+49000+25367.46+26574.36+47740.44+9503.36+21140.5+12730.85+1905+18522.5+4074.95+5850+46702.54+68970.2+13749.15+20912.5+4600.75+10429.5+60101.85+11906.66+4651.19+193200+3331.68</f>
        <v>1116572.0199999998</v>
      </c>
      <c r="AG88" s="79">
        <f t="shared" si="9"/>
        <v>46.2293702217456</v>
      </c>
    </row>
    <row r="89" spans="1:33" ht="46.5" customHeight="1">
      <c r="A89" s="9"/>
      <c r="B89" s="56" t="s">
        <v>9</v>
      </c>
      <c r="C89" s="42">
        <v>781200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781200</v>
      </c>
      <c r="AD89" s="16"/>
      <c r="AE89" s="67"/>
      <c r="AF89" s="93">
        <f>129802.78+45117.28+9925.9+16132.5+3549.15+50156.48+11034.42+6420+19681.65+42614.5+9375.19+7351.6+8800+22346.5+4916.23+3005.6+40594.85+8930.87+26290+5783.8+42618.43+9398.54</f>
        <v>523846.2699999999</v>
      </c>
      <c r="AG89" s="81">
        <f t="shared" si="9"/>
        <v>67.05661418330772</v>
      </c>
    </row>
    <row r="90" spans="1:33" ht="33.75" customHeight="1">
      <c r="A90" s="9"/>
      <c r="B90" s="56" t="s">
        <v>174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7"/>
      <c r="AF90" s="93">
        <v>34981</v>
      </c>
      <c r="AG90" s="81">
        <f t="shared" si="9"/>
        <v>99.94571428571429</v>
      </c>
    </row>
    <row r="91" spans="1:33" ht="24.75" customHeight="1">
      <c r="A91" s="9"/>
      <c r="B91" s="56" t="s">
        <v>175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7"/>
      <c r="AF91" s="93"/>
      <c r="AG91" s="81">
        <f t="shared" si="9"/>
        <v>0</v>
      </c>
    </row>
    <row r="92" spans="1:33" ht="13.5">
      <c r="A92" s="9"/>
      <c r="B92" s="56" t="s">
        <v>59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7"/>
      <c r="AF92" s="92">
        <f>7534.82+5001.66+5251.05+4496.36</f>
        <v>22283.89</v>
      </c>
      <c r="AG92" s="81">
        <f t="shared" si="9"/>
        <v>56.13070528967255</v>
      </c>
    </row>
    <row r="93" spans="1:33" ht="13.5">
      <c r="A93" s="9"/>
      <c r="B93" s="56" t="s">
        <v>60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8"/>
      <c r="AF93" s="92">
        <f>1230.14+830.15+486.74+512.5+803.51+898.5</f>
        <v>4761.54</v>
      </c>
      <c r="AG93" s="81">
        <f t="shared" si="9"/>
        <v>14.833457943925232</v>
      </c>
    </row>
    <row r="94" spans="1:33" ht="13.5">
      <c r="A94" s="9" t="s">
        <v>121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9">
        <f>AD94</f>
        <v>1500000</v>
      </c>
      <c r="AF94" s="91">
        <f>AF98</f>
        <v>99727.2</v>
      </c>
      <c r="AG94" s="80">
        <f t="shared" si="9"/>
        <v>3.8356615384615385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70"/>
      <c r="AF95" s="92"/>
      <c r="AG95" s="81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70"/>
      <c r="AF96" s="92"/>
      <c r="AG96" s="81">
        <f t="shared" si="9"/>
        <v>0</v>
      </c>
    </row>
    <row r="97" spans="1:33" ht="13.5">
      <c r="A97" s="9"/>
      <c r="B97" s="57" t="s">
        <v>113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1">
        <f>AD97</f>
        <v>1500000</v>
      </c>
      <c r="AF97" s="92"/>
      <c r="AG97" s="81">
        <f t="shared" si="9"/>
        <v>0</v>
      </c>
    </row>
    <row r="98" spans="1:33" ht="18" customHeight="1">
      <c r="A98" s="9"/>
      <c r="B98" s="58" t="s">
        <v>132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70"/>
      <c r="AF98" s="92">
        <v>99727.2</v>
      </c>
      <c r="AG98" s="81">
        <f t="shared" si="9"/>
        <v>99.7272</v>
      </c>
    </row>
    <row r="99" spans="1:33" ht="13.5" customHeight="1" hidden="1">
      <c r="A99" s="9"/>
      <c r="B99" s="57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1"/>
      <c r="AF99" s="94"/>
      <c r="AG99" s="81" t="e">
        <f t="shared" si="9"/>
        <v>#DIV/0!</v>
      </c>
    </row>
    <row r="100" spans="1:33" ht="14.25" customHeight="1" hidden="1" thickBot="1">
      <c r="A100" s="9"/>
      <c r="B100" s="56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8"/>
      <c r="AF100" s="94"/>
      <c r="AG100" s="81" t="e">
        <f t="shared" si="9"/>
        <v>#DIV/0!</v>
      </c>
    </row>
    <row r="101" spans="1:33" ht="13.5" customHeight="1" hidden="1">
      <c r="A101" s="9"/>
      <c r="B101" s="56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8"/>
      <c r="AF101" s="94"/>
      <c r="AG101" s="81" t="e">
        <f t="shared" si="9"/>
        <v>#DIV/0!</v>
      </c>
    </row>
    <row r="102" spans="1:33" ht="29.25" customHeight="1">
      <c r="A102" s="9" t="s">
        <v>122</v>
      </c>
      <c r="B102" s="55" t="s">
        <v>167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8"/>
      <c r="AF102" s="91">
        <f>SUM(AF103:AF104)</f>
        <v>232240.09</v>
      </c>
      <c r="AG102" s="81">
        <f t="shared" si="9"/>
        <v>69.9852839302833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8"/>
      <c r="AF103" s="93">
        <f>41185.37+20592.68+20592.69+20592.68+20592.68+21080.87+21080.87</f>
        <v>165717.84</v>
      </c>
      <c r="AG103" s="81">
        <f t="shared" si="9"/>
        <v>66.27618187266008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8"/>
      <c r="AF104" s="93">
        <f>52000+14522.25</f>
        <v>66522.25</v>
      </c>
      <c r="AG104" s="81">
        <f t="shared" si="9"/>
        <v>81.32304400977995</v>
      </c>
    </row>
    <row r="105" spans="1:33" ht="13.5">
      <c r="A105" s="9" t="s">
        <v>123</v>
      </c>
      <c r="B105" s="55" t="s">
        <v>21</v>
      </c>
      <c r="C105" s="41">
        <f>AC105+AD105</f>
        <v>12406607.14</v>
      </c>
      <c r="D105" s="41">
        <f aca="true" t="shared" si="14" ref="D105:AB105">SUM(D106:D107)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AC106+AC107+AC108+AC109</f>
        <v>11706607.14</v>
      </c>
      <c r="AD105" s="41">
        <f>AD106+AD107+AD108+AD109</f>
        <v>700000</v>
      </c>
      <c r="AE105" s="41">
        <f>AE106+AE107+AE108+AE109</f>
        <v>700000</v>
      </c>
      <c r="AF105" s="91">
        <f>AF106+AF107+AF108+AF109</f>
        <v>6024623.05</v>
      </c>
      <c r="AG105" s="80">
        <f t="shared" si="9"/>
        <v>48.55979545427921</v>
      </c>
    </row>
    <row r="106" spans="1:33" ht="46.5" customHeight="1">
      <c r="A106" s="9"/>
      <c r="B106" s="56" t="s">
        <v>31</v>
      </c>
      <c r="C106" s="42">
        <f>8326507.14+1750000+1400000</f>
        <v>11476507.14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11476507.14</v>
      </c>
      <c r="AD106" s="33"/>
      <c r="AE106" s="70"/>
      <c r="AF106" s="93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</f>
        <v>5944523.05</v>
      </c>
      <c r="AG106" s="81">
        <f t="shared" si="9"/>
        <v>51.79731931922973</v>
      </c>
    </row>
    <row r="107" spans="1:33" ht="42">
      <c r="A107" s="9"/>
      <c r="B107" s="56" t="s">
        <v>13</v>
      </c>
      <c r="C107" s="42">
        <v>150000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>C107</f>
        <v>150000</v>
      </c>
      <c r="AD107" s="16"/>
      <c r="AE107" s="72"/>
      <c r="AF107" s="92"/>
      <c r="AG107" s="81">
        <f t="shared" si="9"/>
        <v>0</v>
      </c>
    </row>
    <row r="108" spans="1:33" ht="13.5">
      <c r="A108" s="9"/>
      <c r="B108" s="26" t="s">
        <v>114</v>
      </c>
      <c r="C108" s="42">
        <f>AD108</f>
        <v>700000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32">
        <v>700000</v>
      </c>
      <c r="AE108" s="73">
        <f>AD108</f>
        <v>700000</v>
      </c>
      <c r="AF108" s="92"/>
      <c r="AG108" s="81">
        <f t="shared" si="9"/>
        <v>0</v>
      </c>
    </row>
    <row r="109" spans="1:33" ht="19.5" customHeight="1">
      <c r="A109" s="9"/>
      <c r="B109" s="56" t="s">
        <v>162</v>
      </c>
      <c r="C109" s="42">
        <f>AD109+AC109</f>
        <v>80100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1">
        <v>80100</v>
      </c>
      <c r="AD109" s="32"/>
      <c r="AE109" s="73"/>
      <c r="AF109" s="93">
        <v>80100</v>
      </c>
      <c r="AG109" s="81">
        <f t="shared" si="9"/>
        <v>100</v>
      </c>
    </row>
    <row r="110" spans="1:33" ht="27.75">
      <c r="A110" s="9" t="s">
        <v>124</v>
      </c>
      <c r="B110" s="55" t="s">
        <v>47</v>
      </c>
      <c r="C110" s="41">
        <f>SUM(C111:C111)</f>
        <v>121704.97</v>
      </c>
      <c r="D110" s="41">
        <f aca="true" t="shared" si="15" ref="D110:AB110">SUM(D111:D111)</f>
        <v>0</v>
      </c>
      <c r="E110" s="41">
        <f t="shared" si="15"/>
        <v>0</v>
      </c>
      <c r="F110" s="41">
        <f t="shared" si="15"/>
        <v>0</v>
      </c>
      <c r="G110" s="41">
        <f t="shared" si="15"/>
        <v>0</v>
      </c>
      <c r="H110" s="41">
        <f t="shared" si="15"/>
        <v>0</v>
      </c>
      <c r="I110" s="41">
        <f t="shared" si="15"/>
        <v>0</v>
      </c>
      <c r="J110" s="41">
        <f t="shared" si="15"/>
        <v>0</v>
      </c>
      <c r="K110" s="41">
        <f t="shared" si="15"/>
        <v>0</v>
      </c>
      <c r="L110" s="41">
        <f t="shared" si="15"/>
        <v>0</v>
      </c>
      <c r="M110" s="41">
        <f t="shared" si="15"/>
        <v>0</v>
      </c>
      <c r="N110" s="41">
        <f t="shared" si="15"/>
        <v>0</v>
      </c>
      <c r="O110" s="41">
        <f t="shared" si="15"/>
        <v>0</v>
      </c>
      <c r="P110" s="41">
        <f t="shared" si="15"/>
        <v>0</v>
      </c>
      <c r="Q110" s="41">
        <f t="shared" si="15"/>
        <v>0</v>
      </c>
      <c r="R110" s="41">
        <f t="shared" si="15"/>
        <v>0</v>
      </c>
      <c r="S110" s="41">
        <f t="shared" si="15"/>
        <v>0</v>
      </c>
      <c r="T110" s="41">
        <f t="shared" si="15"/>
        <v>0</v>
      </c>
      <c r="U110" s="41">
        <f t="shared" si="15"/>
        <v>0</v>
      </c>
      <c r="V110" s="41">
        <f t="shared" si="15"/>
        <v>0</v>
      </c>
      <c r="W110" s="41">
        <f t="shared" si="15"/>
        <v>0</v>
      </c>
      <c r="X110" s="41">
        <f t="shared" si="15"/>
        <v>0</v>
      </c>
      <c r="Y110" s="41">
        <f t="shared" si="15"/>
        <v>0</v>
      </c>
      <c r="Z110" s="41">
        <f t="shared" si="15"/>
        <v>0</v>
      </c>
      <c r="AA110" s="41">
        <f t="shared" si="15"/>
        <v>0</v>
      </c>
      <c r="AB110" s="41">
        <f t="shared" si="15"/>
        <v>0</v>
      </c>
      <c r="AC110" s="41">
        <f t="shared" si="7"/>
        <v>121704.97</v>
      </c>
      <c r="AD110" s="15"/>
      <c r="AE110" s="67"/>
      <c r="AF110" s="91">
        <f>SUM(AF111:AF111)</f>
        <v>99616.15</v>
      </c>
      <c r="AG110" s="80">
        <f t="shared" si="9"/>
        <v>81.85051933376262</v>
      </c>
    </row>
    <row r="111" spans="1:33" ht="23.25" customHeight="1">
      <c r="A111" s="9"/>
      <c r="B111" s="56" t="s">
        <v>48</v>
      </c>
      <c r="C111" s="42">
        <f>102000+19704.97</f>
        <v>121704.97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121704.97</v>
      </c>
      <c r="AD111" s="16"/>
      <c r="AE111" s="67"/>
      <c r="AF111" s="93">
        <v>99616.15</v>
      </c>
      <c r="AG111" s="79">
        <f t="shared" si="9"/>
        <v>81.85051933376262</v>
      </c>
    </row>
    <row r="112" spans="1:33" ht="13.5">
      <c r="A112" s="9" t="s">
        <v>125</v>
      </c>
      <c r="B112" s="55" t="s">
        <v>1</v>
      </c>
      <c r="C112" s="41">
        <f>SUM(C113:C114)</f>
        <v>851133.72</v>
      </c>
      <c r="D112" s="41">
        <f aca="true" t="shared" si="16" ref="D112:AB112">SUM(D113:D114)</f>
        <v>0</v>
      </c>
      <c r="E112" s="41">
        <f t="shared" si="16"/>
        <v>0</v>
      </c>
      <c r="F112" s="41">
        <f t="shared" si="16"/>
        <v>0</v>
      </c>
      <c r="G112" s="41">
        <f t="shared" si="16"/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  <c r="M112" s="41">
        <f t="shared" si="16"/>
        <v>0</v>
      </c>
      <c r="N112" s="41">
        <f t="shared" si="16"/>
        <v>0</v>
      </c>
      <c r="O112" s="41">
        <f t="shared" si="16"/>
        <v>0</v>
      </c>
      <c r="P112" s="41">
        <f t="shared" si="16"/>
        <v>0</v>
      </c>
      <c r="Q112" s="41">
        <f t="shared" si="16"/>
        <v>0</v>
      </c>
      <c r="R112" s="41">
        <f t="shared" si="16"/>
        <v>0</v>
      </c>
      <c r="S112" s="41">
        <f t="shared" si="16"/>
        <v>0</v>
      </c>
      <c r="T112" s="41">
        <f t="shared" si="16"/>
        <v>0</v>
      </c>
      <c r="U112" s="41">
        <f t="shared" si="16"/>
        <v>0</v>
      </c>
      <c r="V112" s="41">
        <f t="shared" si="16"/>
        <v>0</v>
      </c>
      <c r="W112" s="41">
        <f t="shared" si="16"/>
        <v>0</v>
      </c>
      <c r="X112" s="41">
        <f t="shared" si="16"/>
        <v>0</v>
      </c>
      <c r="Y112" s="41">
        <f t="shared" si="16"/>
        <v>0</v>
      </c>
      <c r="Z112" s="41">
        <f t="shared" si="16"/>
        <v>0</v>
      </c>
      <c r="AA112" s="41">
        <f t="shared" si="16"/>
        <v>0</v>
      </c>
      <c r="AB112" s="41">
        <f t="shared" si="16"/>
        <v>0</v>
      </c>
      <c r="AC112" s="41">
        <f t="shared" si="7"/>
        <v>851133.72</v>
      </c>
      <c r="AD112" s="15"/>
      <c r="AE112" s="67"/>
      <c r="AF112" s="91">
        <f>SUM(AF113:AF114)</f>
        <v>573977.03</v>
      </c>
      <c r="AG112" s="80">
        <f t="shared" si="9"/>
        <v>67.43676305058153</v>
      </c>
    </row>
    <row r="113" spans="1:33" ht="13.5">
      <c r="A113" s="9"/>
      <c r="B113" s="56" t="s">
        <v>61</v>
      </c>
      <c r="C113" s="42">
        <v>751133.72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751133.72</v>
      </c>
      <c r="AD113" s="16"/>
      <c r="AE113" s="67"/>
      <c r="AF113" s="92">
        <f>489369.46+67184.23</f>
        <v>556553.6900000001</v>
      </c>
      <c r="AG113" s="81">
        <f t="shared" si="9"/>
        <v>74.09515445532124</v>
      </c>
    </row>
    <row r="114" spans="1:33" ht="13.5">
      <c r="A114" s="9"/>
      <c r="B114" s="56" t="s">
        <v>32</v>
      </c>
      <c r="C114" s="42">
        <v>100000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100000</v>
      </c>
      <c r="AD114" s="16"/>
      <c r="AE114" s="67"/>
      <c r="AF114" s="92">
        <f>6764.94+4155.7+1905.74+2325.52+2271.44</f>
        <v>17423.34</v>
      </c>
      <c r="AG114" s="81">
        <f t="shared" si="9"/>
        <v>17.42334</v>
      </c>
    </row>
    <row r="115" spans="1:33" ht="13.5">
      <c r="A115" s="9" t="s">
        <v>126</v>
      </c>
      <c r="B115" s="55" t="s">
        <v>33</v>
      </c>
      <c r="C115" s="41">
        <v>188376.21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1">
        <f t="shared" si="7"/>
        <v>188376.21</v>
      </c>
      <c r="AD115" s="16"/>
      <c r="AE115" s="67"/>
      <c r="AF115" s="91">
        <v>40000</v>
      </c>
      <c r="AG115" s="81">
        <f t="shared" si="9"/>
        <v>21.2341038180989</v>
      </c>
    </row>
    <row r="116" spans="1:33" ht="13.5">
      <c r="A116" s="9" t="s">
        <v>127</v>
      </c>
      <c r="B116" s="55" t="s">
        <v>169</v>
      </c>
      <c r="C116" s="41">
        <f>SUM(C117:C118)</f>
        <v>97441</v>
      </c>
      <c r="D116" s="41">
        <f aca="true" t="shared" si="17" ref="D116:AB116">SUM(D117:D118)</f>
        <v>0</v>
      </c>
      <c r="E116" s="41">
        <f t="shared" si="17"/>
        <v>0</v>
      </c>
      <c r="F116" s="41">
        <f t="shared" si="17"/>
        <v>0</v>
      </c>
      <c r="G116" s="41">
        <f t="shared" si="17"/>
        <v>0</v>
      </c>
      <c r="H116" s="41">
        <f t="shared" si="17"/>
        <v>0</v>
      </c>
      <c r="I116" s="41">
        <f t="shared" si="17"/>
        <v>0</v>
      </c>
      <c r="J116" s="41">
        <f t="shared" si="17"/>
        <v>0</v>
      </c>
      <c r="K116" s="41">
        <f t="shared" si="17"/>
        <v>0</v>
      </c>
      <c r="L116" s="41">
        <f t="shared" si="17"/>
        <v>0</v>
      </c>
      <c r="M116" s="41">
        <f t="shared" si="17"/>
        <v>0</v>
      </c>
      <c r="N116" s="41">
        <f t="shared" si="17"/>
        <v>0</v>
      </c>
      <c r="O116" s="41">
        <f t="shared" si="17"/>
        <v>0</v>
      </c>
      <c r="P116" s="41">
        <f t="shared" si="17"/>
        <v>0</v>
      </c>
      <c r="Q116" s="41">
        <f t="shared" si="17"/>
        <v>0</v>
      </c>
      <c r="R116" s="41">
        <f t="shared" si="17"/>
        <v>0</v>
      </c>
      <c r="S116" s="41">
        <f t="shared" si="17"/>
        <v>0</v>
      </c>
      <c r="T116" s="41">
        <f t="shared" si="17"/>
        <v>0</v>
      </c>
      <c r="U116" s="41">
        <f t="shared" si="17"/>
        <v>0</v>
      </c>
      <c r="V116" s="41">
        <f t="shared" si="17"/>
        <v>0</v>
      </c>
      <c r="W116" s="41">
        <f t="shared" si="17"/>
        <v>0</v>
      </c>
      <c r="X116" s="41">
        <f t="shared" si="17"/>
        <v>0</v>
      </c>
      <c r="Y116" s="41">
        <f t="shared" si="17"/>
        <v>0</v>
      </c>
      <c r="Z116" s="41">
        <f t="shared" si="17"/>
        <v>0</v>
      </c>
      <c r="AA116" s="41">
        <f t="shared" si="17"/>
        <v>0</v>
      </c>
      <c r="AB116" s="41">
        <f t="shared" si="17"/>
        <v>0</v>
      </c>
      <c r="AC116" s="41">
        <f t="shared" si="7"/>
        <v>97441</v>
      </c>
      <c r="AD116" s="48"/>
      <c r="AE116" s="67"/>
      <c r="AF116" s="91">
        <f>SUM(AF117:AF118)</f>
        <v>44962.03</v>
      </c>
      <c r="AG116" s="80">
        <f t="shared" si="9"/>
        <v>46.14282488890713</v>
      </c>
    </row>
    <row r="117" spans="1:33" ht="13.5">
      <c r="A117" s="9"/>
      <c r="B117" s="56" t="s">
        <v>34</v>
      </c>
      <c r="C117" s="42">
        <v>93250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93250</v>
      </c>
      <c r="AD117" s="16"/>
      <c r="AE117" s="67"/>
      <c r="AF117" s="92">
        <f>27053.44-4752.8+21602.9</f>
        <v>43903.54</v>
      </c>
      <c r="AG117" s="81">
        <f t="shared" si="9"/>
        <v>47.08154423592493</v>
      </c>
    </row>
    <row r="118" spans="1:33" ht="13.5">
      <c r="A118" s="9"/>
      <c r="B118" s="56" t="s">
        <v>62</v>
      </c>
      <c r="C118" s="42">
        <v>4191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4191</v>
      </c>
      <c r="AD118" s="16"/>
      <c r="AE118" s="67"/>
      <c r="AF118" s="92">
        <f>400.51+657.98</f>
        <v>1058.49</v>
      </c>
      <c r="AG118" s="81">
        <f t="shared" si="9"/>
        <v>25.256263421617753</v>
      </c>
    </row>
    <row r="119" spans="1:33" ht="13.5">
      <c r="A119" s="9" t="s">
        <v>128</v>
      </c>
      <c r="B119" s="55" t="s">
        <v>168</v>
      </c>
      <c r="C119" s="41">
        <f>SUM(C120:C121)</f>
        <v>31520</v>
      </c>
      <c r="D119" s="41">
        <f aca="true" t="shared" si="18" ref="D119:AB119">SUM(D120:D121)</f>
        <v>0</v>
      </c>
      <c r="E119" s="41">
        <f t="shared" si="18"/>
        <v>0</v>
      </c>
      <c r="F119" s="41">
        <f t="shared" si="18"/>
        <v>0</v>
      </c>
      <c r="G119" s="41">
        <f t="shared" si="18"/>
        <v>0</v>
      </c>
      <c r="H119" s="41">
        <f t="shared" si="18"/>
        <v>0</v>
      </c>
      <c r="I119" s="41">
        <f t="shared" si="18"/>
        <v>0</v>
      </c>
      <c r="J119" s="41">
        <f t="shared" si="18"/>
        <v>0</v>
      </c>
      <c r="K119" s="41">
        <f t="shared" si="18"/>
        <v>0</v>
      </c>
      <c r="L119" s="41">
        <f t="shared" si="18"/>
        <v>0</v>
      </c>
      <c r="M119" s="41">
        <f t="shared" si="18"/>
        <v>0</v>
      </c>
      <c r="N119" s="41">
        <f t="shared" si="18"/>
        <v>0</v>
      </c>
      <c r="O119" s="41">
        <f t="shared" si="18"/>
        <v>0</v>
      </c>
      <c r="P119" s="41">
        <f t="shared" si="18"/>
        <v>0</v>
      </c>
      <c r="Q119" s="41">
        <f t="shared" si="18"/>
        <v>0</v>
      </c>
      <c r="R119" s="41">
        <f t="shared" si="18"/>
        <v>0</v>
      </c>
      <c r="S119" s="41">
        <f t="shared" si="18"/>
        <v>0</v>
      </c>
      <c r="T119" s="41">
        <f t="shared" si="18"/>
        <v>0</v>
      </c>
      <c r="U119" s="41">
        <f t="shared" si="18"/>
        <v>0</v>
      </c>
      <c r="V119" s="41">
        <f t="shared" si="18"/>
        <v>0</v>
      </c>
      <c r="W119" s="41">
        <f t="shared" si="18"/>
        <v>0</v>
      </c>
      <c r="X119" s="41">
        <f t="shared" si="18"/>
        <v>0</v>
      </c>
      <c r="Y119" s="41">
        <f t="shared" si="18"/>
        <v>0</v>
      </c>
      <c r="Z119" s="41">
        <f t="shared" si="18"/>
        <v>0</v>
      </c>
      <c r="AA119" s="41">
        <f t="shared" si="18"/>
        <v>0</v>
      </c>
      <c r="AB119" s="41">
        <f t="shared" si="18"/>
        <v>0</v>
      </c>
      <c r="AC119" s="41">
        <f t="shared" si="7"/>
        <v>31520</v>
      </c>
      <c r="AD119" s="16"/>
      <c r="AE119" s="67"/>
      <c r="AF119" s="91">
        <f>SUM(AF120:AF121)</f>
        <v>0</v>
      </c>
      <c r="AG119" s="80">
        <f t="shared" si="9"/>
        <v>0</v>
      </c>
    </row>
    <row r="120" spans="1:33" ht="13.5">
      <c r="A120" s="9"/>
      <c r="B120" s="56" t="s">
        <v>35</v>
      </c>
      <c r="C120" s="42">
        <v>5331.2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5331.2</v>
      </c>
      <c r="AD120" s="16"/>
      <c r="AE120" s="67"/>
      <c r="AF120" s="92"/>
      <c r="AG120" s="81">
        <f t="shared" si="9"/>
        <v>0</v>
      </c>
    </row>
    <row r="121" spans="1:33" ht="13.5">
      <c r="A121" s="9"/>
      <c r="B121" s="56" t="s">
        <v>63</v>
      </c>
      <c r="C121" s="42">
        <v>26188.8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26188.8</v>
      </c>
      <c r="AD121" s="16"/>
      <c r="AE121" s="67"/>
      <c r="AF121" s="92"/>
      <c r="AG121" s="81">
        <f t="shared" si="9"/>
        <v>0</v>
      </c>
    </row>
    <row r="122" spans="1:33" ht="13.5">
      <c r="A122" s="9" t="s">
        <v>137</v>
      </c>
      <c r="B122" s="55" t="s">
        <v>138</v>
      </c>
      <c r="C122" s="41">
        <v>1500000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1">
        <f t="shared" si="7"/>
        <v>1500000</v>
      </c>
      <c r="AD122" s="16"/>
      <c r="AE122" s="67"/>
      <c r="AF122" s="94"/>
      <c r="AG122" s="79">
        <f t="shared" si="9"/>
        <v>0</v>
      </c>
    </row>
    <row r="123" spans="1:33" s="3" customFormat="1" ht="23.25" customHeight="1">
      <c r="A123" s="22" t="s">
        <v>111</v>
      </c>
      <c r="B123" s="59" t="s">
        <v>53</v>
      </c>
      <c r="C123" s="40">
        <f>C124</f>
        <v>32849</v>
      </c>
      <c r="D123" s="40">
        <f aca="true" t="shared" si="19" ref="D123:AB123">D124</f>
        <v>0</v>
      </c>
      <c r="E123" s="40">
        <f t="shared" si="19"/>
        <v>0</v>
      </c>
      <c r="F123" s="40">
        <f t="shared" si="19"/>
        <v>0</v>
      </c>
      <c r="G123" s="40">
        <f t="shared" si="19"/>
        <v>0</v>
      </c>
      <c r="H123" s="40">
        <f t="shared" si="19"/>
        <v>0</v>
      </c>
      <c r="I123" s="40">
        <f t="shared" si="19"/>
        <v>0</v>
      </c>
      <c r="J123" s="40">
        <f t="shared" si="19"/>
        <v>0</v>
      </c>
      <c r="K123" s="40">
        <f t="shared" si="19"/>
        <v>0</v>
      </c>
      <c r="L123" s="40">
        <f t="shared" si="19"/>
        <v>0</v>
      </c>
      <c r="M123" s="40">
        <f t="shared" si="19"/>
        <v>0</v>
      </c>
      <c r="N123" s="40">
        <f t="shared" si="19"/>
        <v>0</v>
      </c>
      <c r="O123" s="40">
        <f t="shared" si="19"/>
        <v>0</v>
      </c>
      <c r="P123" s="40">
        <f t="shared" si="19"/>
        <v>0</v>
      </c>
      <c r="Q123" s="40">
        <f t="shared" si="19"/>
        <v>0</v>
      </c>
      <c r="R123" s="40">
        <f t="shared" si="19"/>
        <v>0</v>
      </c>
      <c r="S123" s="40">
        <f t="shared" si="19"/>
        <v>0</v>
      </c>
      <c r="T123" s="40">
        <f t="shared" si="19"/>
        <v>0</v>
      </c>
      <c r="U123" s="40">
        <f t="shared" si="19"/>
        <v>0</v>
      </c>
      <c r="V123" s="40">
        <f t="shared" si="19"/>
        <v>0</v>
      </c>
      <c r="W123" s="40">
        <f t="shared" si="19"/>
        <v>0</v>
      </c>
      <c r="X123" s="40">
        <f t="shared" si="19"/>
        <v>0</v>
      </c>
      <c r="Y123" s="40">
        <f t="shared" si="19"/>
        <v>0</v>
      </c>
      <c r="Z123" s="40">
        <f t="shared" si="19"/>
        <v>0</v>
      </c>
      <c r="AA123" s="40">
        <f t="shared" si="19"/>
        <v>0</v>
      </c>
      <c r="AB123" s="40">
        <f t="shared" si="19"/>
        <v>0</v>
      </c>
      <c r="AC123" s="40">
        <f>AC124</f>
        <v>32849</v>
      </c>
      <c r="AD123" s="17"/>
      <c r="AE123" s="74"/>
      <c r="AF123" s="95">
        <f>BG123</f>
        <v>0</v>
      </c>
      <c r="AG123" s="77">
        <f t="shared" si="9"/>
        <v>0</v>
      </c>
    </row>
    <row r="124" spans="1:33" ht="27.75">
      <c r="A124" s="9" t="s">
        <v>129</v>
      </c>
      <c r="B124" s="56" t="s">
        <v>25</v>
      </c>
      <c r="C124" s="42">
        <v>32849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61">
        <f>C124</f>
        <v>32849</v>
      </c>
      <c r="AD124" s="16"/>
      <c r="AE124" s="67"/>
      <c r="AF124" s="92"/>
      <c r="AG124" s="80">
        <f t="shared" si="9"/>
        <v>0</v>
      </c>
    </row>
    <row r="125" spans="1:33" s="3" customFormat="1" ht="15">
      <c r="A125" s="22" t="s">
        <v>112</v>
      </c>
      <c r="B125" s="59" t="s">
        <v>29</v>
      </c>
      <c r="C125" s="40">
        <f>AC125+AE125</f>
        <v>9832234.5</v>
      </c>
      <c r="D125" s="40">
        <f aca="true" t="shared" si="20" ref="D125:AB125">SUM(D127:D129)</f>
        <v>0</v>
      </c>
      <c r="E125" s="40">
        <f t="shared" si="20"/>
        <v>0</v>
      </c>
      <c r="F125" s="40">
        <f t="shared" si="20"/>
        <v>0</v>
      </c>
      <c r="G125" s="40">
        <f t="shared" si="20"/>
        <v>0</v>
      </c>
      <c r="H125" s="40">
        <f t="shared" si="20"/>
        <v>0</v>
      </c>
      <c r="I125" s="40">
        <f t="shared" si="20"/>
        <v>0</v>
      </c>
      <c r="J125" s="40">
        <f t="shared" si="20"/>
        <v>0</v>
      </c>
      <c r="K125" s="40">
        <f t="shared" si="20"/>
        <v>0</v>
      </c>
      <c r="L125" s="40">
        <f t="shared" si="20"/>
        <v>0</v>
      </c>
      <c r="M125" s="40">
        <f t="shared" si="20"/>
        <v>0</v>
      </c>
      <c r="N125" s="40">
        <f t="shared" si="20"/>
        <v>0</v>
      </c>
      <c r="O125" s="40">
        <f t="shared" si="20"/>
        <v>0</v>
      </c>
      <c r="P125" s="40">
        <f t="shared" si="20"/>
        <v>0</v>
      </c>
      <c r="Q125" s="40">
        <f t="shared" si="20"/>
        <v>0</v>
      </c>
      <c r="R125" s="40">
        <f t="shared" si="20"/>
        <v>0</v>
      </c>
      <c r="S125" s="40">
        <f t="shared" si="20"/>
        <v>0</v>
      </c>
      <c r="T125" s="40">
        <f t="shared" si="20"/>
        <v>0</v>
      </c>
      <c r="U125" s="40">
        <f t="shared" si="20"/>
        <v>0</v>
      </c>
      <c r="V125" s="40">
        <f t="shared" si="20"/>
        <v>0</v>
      </c>
      <c r="W125" s="40">
        <f t="shared" si="20"/>
        <v>0</v>
      </c>
      <c r="X125" s="40">
        <f t="shared" si="20"/>
        <v>0</v>
      </c>
      <c r="Y125" s="40">
        <f t="shared" si="20"/>
        <v>0</v>
      </c>
      <c r="Z125" s="40">
        <f t="shared" si="20"/>
        <v>0</v>
      </c>
      <c r="AA125" s="40">
        <f t="shared" si="20"/>
        <v>0</v>
      </c>
      <c r="AB125" s="40">
        <f t="shared" si="20"/>
        <v>0</v>
      </c>
      <c r="AC125" s="40">
        <f>AC127+AC128+AC129</f>
        <v>832234.5</v>
      </c>
      <c r="AD125" s="34">
        <f>AD129</f>
        <v>9000000</v>
      </c>
      <c r="AE125" s="66">
        <f>AD125</f>
        <v>9000000</v>
      </c>
      <c r="AF125" s="95">
        <f>AF126+AF129</f>
        <v>130040.62</v>
      </c>
      <c r="AG125" s="77">
        <f t="shared" si="9"/>
        <v>1.3225947774130082</v>
      </c>
    </row>
    <row r="126" spans="1:33" ht="21" customHeight="1">
      <c r="A126" s="9" t="s">
        <v>115</v>
      </c>
      <c r="B126" s="55" t="s">
        <v>55</v>
      </c>
      <c r="C126" s="41">
        <f>C127+C128</f>
        <v>832234.5</v>
      </c>
      <c r="D126" s="41">
        <f aca="true" t="shared" si="21" ref="D126:AB126">D127+D129</f>
        <v>0</v>
      </c>
      <c r="E126" s="41">
        <f t="shared" si="21"/>
        <v>0</v>
      </c>
      <c r="F126" s="41">
        <f t="shared" si="21"/>
        <v>0</v>
      </c>
      <c r="G126" s="41">
        <f t="shared" si="21"/>
        <v>0</v>
      </c>
      <c r="H126" s="41">
        <f t="shared" si="21"/>
        <v>0</v>
      </c>
      <c r="I126" s="41">
        <f t="shared" si="21"/>
        <v>0</v>
      </c>
      <c r="J126" s="41">
        <f t="shared" si="21"/>
        <v>0</v>
      </c>
      <c r="K126" s="41">
        <f t="shared" si="21"/>
        <v>0</v>
      </c>
      <c r="L126" s="41">
        <f t="shared" si="21"/>
        <v>0</v>
      </c>
      <c r="M126" s="41">
        <f t="shared" si="21"/>
        <v>0</v>
      </c>
      <c r="N126" s="41">
        <f t="shared" si="21"/>
        <v>0</v>
      </c>
      <c r="O126" s="41">
        <f t="shared" si="21"/>
        <v>0</v>
      </c>
      <c r="P126" s="41">
        <f t="shared" si="21"/>
        <v>0</v>
      </c>
      <c r="Q126" s="41">
        <f t="shared" si="21"/>
        <v>0</v>
      </c>
      <c r="R126" s="41">
        <f t="shared" si="21"/>
        <v>0</v>
      </c>
      <c r="S126" s="41">
        <f t="shared" si="21"/>
        <v>0</v>
      </c>
      <c r="T126" s="41">
        <f t="shared" si="21"/>
        <v>0</v>
      </c>
      <c r="U126" s="41">
        <f t="shared" si="21"/>
        <v>0</v>
      </c>
      <c r="V126" s="41">
        <f t="shared" si="21"/>
        <v>0</v>
      </c>
      <c r="W126" s="41">
        <f t="shared" si="21"/>
        <v>0</v>
      </c>
      <c r="X126" s="41">
        <f t="shared" si="21"/>
        <v>0</v>
      </c>
      <c r="Y126" s="41">
        <f t="shared" si="21"/>
        <v>0</v>
      </c>
      <c r="Z126" s="41">
        <f t="shared" si="21"/>
        <v>0</v>
      </c>
      <c r="AA126" s="41">
        <f t="shared" si="21"/>
        <v>0</v>
      </c>
      <c r="AB126" s="41">
        <f t="shared" si="21"/>
        <v>0</v>
      </c>
      <c r="AC126" s="41">
        <f>C126</f>
        <v>832234.5</v>
      </c>
      <c r="AD126" s="62"/>
      <c r="AE126" s="75"/>
      <c r="AF126" s="91">
        <f>AF127+AF128</f>
        <v>130040.62</v>
      </c>
      <c r="AG126" s="78">
        <f t="shared" si="9"/>
        <v>15.625478155495836</v>
      </c>
    </row>
    <row r="127" spans="1:33" ht="42">
      <c r="A127" s="9"/>
      <c r="B127" s="56" t="s">
        <v>14</v>
      </c>
      <c r="C127" s="42">
        <v>823779.5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>C127</f>
        <v>823779.5</v>
      </c>
      <c r="AD127" s="63"/>
      <c r="AE127" s="76"/>
      <c r="AF127" s="93">
        <f>24211.33+10124.25+10765.51+13157.92+11695.74+9191.49+14350.76+21184.89+15358.73</f>
        <v>130040.62</v>
      </c>
      <c r="AG127" s="79">
        <f t="shared" si="9"/>
        <v>15.78585288903159</v>
      </c>
    </row>
    <row r="128" spans="1:33" ht="32.25" customHeight="1">
      <c r="A128" s="9"/>
      <c r="B128" s="56" t="s">
        <v>15</v>
      </c>
      <c r="C128" s="42">
        <v>8455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2">
        <f>C128</f>
        <v>8455</v>
      </c>
      <c r="AD128" s="63"/>
      <c r="AE128" s="76"/>
      <c r="AF128" s="92"/>
      <c r="AG128" s="79">
        <f t="shared" si="9"/>
        <v>0</v>
      </c>
    </row>
    <row r="129" spans="1:33" ht="93" customHeight="1">
      <c r="A129" s="9" t="s">
        <v>116</v>
      </c>
      <c r="B129" s="60" t="s">
        <v>172</v>
      </c>
      <c r="C129" s="41">
        <f>AD129</f>
        <v>9000000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1"/>
      <c r="AD129" s="35">
        <f>9000000</f>
        <v>9000000</v>
      </c>
      <c r="AE129" s="69">
        <f>AD129</f>
        <v>9000000</v>
      </c>
      <c r="AF129" s="96"/>
      <c r="AG129" s="80">
        <f t="shared" si="9"/>
        <v>0</v>
      </c>
    </row>
    <row r="130" spans="1:33" ht="24" customHeight="1">
      <c r="A130" s="123" t="s">
        <v>49</v>
      </c>
      <c r="B130" s="124"/>
      <c r="C130" s="50">
        <f>AC130+AE130</f>
        <v>85861533.85</v>
      </c>
      <c r="D130" s="50">
        <f aca="true" t="shared" si="22" ref="D130:AB130">D123+D69+D125</f>
        <v>0</v>
      </c>
      <c r="E130" s="50">
        <f t="shared" si="22"/>
        <v>0</v>
      </c>
      <c r="F130" s="50">
        <f t="shared" si="22"/>
        <v>0</v>
      </c>
      <c r="G130" s="50">
        <f t="shared" si="22"/>
        <v>0</v>
      </c>
      <c r="H130" s="50">
        <f t="shared" si="22"/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50">
        <f t="shared" si="22"/>
        <v>0</v>
      </c>
      <c r="O130" s="50">
        <f t="shared" si="22"/>
        <v>0</v>
      </c>
      <c r="P130" s="50">
        <f t="shared" si="22"/>
        <v>0</v>
      </c>
      <c r="Q130" s="50">
        <f t="shared" si="22"/>
        <v>0</v>
      </c>
      <c r="R130" s="50">
        <f t="shared" si="22"/>
        <v>0</v>
      </c>
      <c r="S130" s="50">
        <f t="shared" si="22"/>
        <v>0</v>
      </c>
      <c r="T130" s="50">
        <f t="shared" si="22"/>
        <v>0</v>
      </c>
      <c r="U130" s="50">
        <f t="shared" si="22"/>
        <v>0</v>
      </c>
      <c r="V130" s="50">
        <f t="shared" si="22"/>
        <v>0</v>
      </c>
      <c r="W130" s="50">
        <f t="shared" si="22"/>
        <v>0</v>
      </c>
      <c r="X130" s="50">
        <f t="shared" si="22"/>
        <v>0</v>
      </c>
      <c r="Y130" s="50">
        <f t="shared" si="22"/>
        <v>0</v>
      </c>
      <c r="Z130" s="50">
        <f t="shared" si="22"/>
        <v>0</v>
      </c>
      <c r="AA130" s="50">
        <f t="shared" si="22"/>
        <v>0</v>
      </c>
      <c r="AB130" s="50">
        <f t="shared" si="22"/>
        <v>0</v>
      </c>
      <c r="AC130" s="50">
        <f>AC125+AC123+AC69</f>
        <v>47026586</v>
      </c>
      <c r="AD130" s="34">
        <f>AE130</f>
        <v>38834947.849999994</v>
      </c>
      <c r="AE130" s="66">
        <f>AE6+AE65+AE67+AE69+AE123+AE125</f>
        <v>38834947.849999994</v>
      </c>
      <c r="AF130" s="97">
        <f>AF125+AF123+AF69+AF67+AF65+AF6</f>
        <v>30076153.82</v>
      </c>
      <c r="AG130" s="77">
        <f t="shared" si="9"/>
        <v>35.02867054826089</v>
      </c>
    </row>
    <row r="131" spans="15:18" ht="12.75">
      <c r="O131" s="8"/>
      <c r="Q131" s="11"/>
      <c r="R131" s="11"/>
    </row>
    <row r="132" spans="1:29" s="4" customFormat="1" ht="18">
      <c r="A132" s="23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2"/>
      <c r="B134" s="12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2018-08-06T12:36:42Z</dcterms:modified>
  <cp:category/>
  <cp:version/>
  <cp:contentType/>
  <cp:contentStatus/>
</cp:coreProperties>
</file>